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Inputs" sheetId="2" state="visible" r:id="rId2"/>
    <sheet name="Bands" sheetId="3" state="visible" r:id="rId3"/>
    <sheet name="People" sheetId="4" state="visible" r:id="rId4"/>
    <sheet name="Summary" sheetId="5" state="visible" r:id="rId5"/>
  </sheets>
  <definedNames/>
  <calcPr calcId="124519" fullCalcOnLoad="1"/>
</workbook>
</file>

<file path=xl/styles.xml><?xml version="1.0" encoding="utf-8"?>
<styleSheet xmlns="http://schemas.openxmlformats.org/spreadsheetml/2006/main">
  <numFmts count="1">
    <numFmt numFmtId="164" formatCode="0,##0"/>
  </numFmts>
  <fonts count="10">
    <font>
      <name val="Calibri"/>
      <family val="2"/>
      <color theme="1"/>
      <sz val="11"/>
      <scheme val="minor"/>
    </font>
    <font>
      <name val="Calibri"/>
      <b val="1"/>
      <color rgb="000E2439"/>
      <sz val="22"/>
    </font>
    <font>
      <name val="Calibri"/>
      <color rgb="006B7884"/>
      <sz val="10"/>
    </font>
    <font>
      <name val="Calibri"/>
      <b val="1"/>
      <color rgb="000E2439"/>
      <sz val="12"/>
    </font>
    <font>
      <name val="Calibri"/>
      <color rgb="0016202B"/>
      <sz val="11"/>
    </font>
    <font>
      <name val="Calibri"/>
      <b val="1"/>
      <color rgb="000E2439"/>
      <sz val="18"/>
    </font>
    <font>
      <name val="Calibri"/>
      <b val="1"/>
      <color rgb="0016202B"/>
      <sz val="11"/>
    </font>
    <font>
      <name val="Calibri"/>
      <b val="1"/>
      <color rgb="000E2439"/>
      <sz val="20"/>
    </font>
    <font>
      <name val="Calibri"/>
      <b val="1"/>
      <color rgb="00FFFFFF"/>
      <sz val="11"/>
    </font>
    <font>
      <name val="Calibri"/>
      <b val="1"/>
      <color rgb="000E2439"/>
      <sz val="13"/>
    </font>
  </fonts>
  <fills count="6">
    <fill>
      <patternFill/>
    </fill>
    <fill>
      <patternFill patternType="gray125"/>
    </fill>
    <fill>
      <patternFill patternType="solid">
        <fgColor rgb="00FFF4DA"/>
      </patternFill>
    </fill>
    <fill>
      <patternFill patternType="solid">
        <fgColor rgb="000E2439"/>
      </patternFill>
    </fill>
    <fill>
      <patternFill patternType="solid">
        <fgColor rgb="00F2F5F7"/>
      </patternFill>
    </fill>
    <fill>
      <patternFill patternType="solid">
        <fgColor rgb="004A8FC0"/>
      </patternFill>
    </fill>
  </fills>
  <borders count="2">
    <border>
      <left/>
      <right/>
      <top/>
      <bottom/>
      <diagonal/>
    </border>
    <border>
      <left style="thin">
        <color rgb="00D8DEE4"/>
      </left>
      <right style="thin">
        <color rgb="00D8DEE4"/>
      </right>
      <top style="thin">
        <color rgb="00D8DEE4"/>
      </top>
      <bottom style="thin">
        <color rgb="00D8DEE4"/>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6" fillId="0" borderId="0" pivotButton="0" quotePrefix="0" xfId="0"/>
    <xf numFmtId="164" fontId="6" fillId="2" borderId="1" applyAlignment="1" pivotButton="0" quotePrefix="0" xfId="0">
      <alignment horizontal="center"/>
    </xf>
    <xf numFmtId="0" fontId="2" fillId="0" borderId="0" applyAlignment="1" pivotButton="0" quotePrefix="0" xfId="0">
      <alignment vertical="center" wrapText="1"/>
    </xf>
    <xf numFmtId="9" fontId="6" fillId="2" borderId="1" applyAlignment="1" pivotButton="0" quotePrefix="0" xfId="0">
      <alignment horizontal="center"/>
    </xf>
    <xf numFmtId="1" fontId="6" fillId="2" borderId="1" applyAlignment="1" pivotButton="0" quotePrefix="0" xfId="0">
      <alignment horizontal="center"/>
    </xf>
    <xf numFmtId="0" fontId="4" fillId="0" borderId="0" pivotButton="0" quotePrefix="0" xfId="0"/>
    <xf numFmtId="9" fontId="7" fillId="0" borderId="0" applyAlignment="1" pivotButton="0" quotePrefix="0" xfId="0">
      <alignment horizontal="center"/>
    </xf>
    <xf numFmtId="0" fontId="4" fillId="0" borderId="0" applyAlignment="1" pivotButton="0" quotePrefix="0" xfId="0">
      <alignment vertical="center" wrapText="1"/>
    </xf>
    <xf numFmtId="0" fontId="8" fillId="3" borderId="1" applyAlignment="1" pivotButton="0" quotePrefix="0" xfId="0">
      <alignment horizontal="center" vertical="center" wrapText="1"/>
    </xf>
    <xf numFmtId="0" fontId="6" fillId="0" borderId="1" applyAlignment="1" pivotButton="0" quotePrefix="0" xfId="0">
      <alignment horizontal="center"/>
    </xf>
    <xf numFmtId="3" fontId="0" fillId="0" borderId="1" applyAlignment="1" pivotButton="0" quotePrefix="0" xfId="0">
      <alignment horizontal="center"/>
    </xf>
    <xf numFmtId="3" fontId="6" fillId="0" borderId="1" applyAlignment="1" pivotButton="0" quotePrefix="0" xfId="0">
      <alignment horizontal="center"/>
    </xf>
    <xf numFmtId="9" fontId="0" fillId="0" borderId="1" applyAlignment="1" pivotButton="0" quotePrefix="0" xfId="0">
      <alignment horizontal="center"/>
    </xf>
    <xf numFmtId="0" fontId="6" fillId="4" borderId="1" applyAlignment="1" pivotButton="0" quotePrefix="0" xfId="0">
      <alignment horizontal="center"/>
    </xf>
    <xf numFmtId="3" fontId="0" fillId="4" borderId="1" applyAlignment="1" pivotButton="0" quotePrefix="0" xfId="0">
      <alignment horizontal="center"/>
    </xf>
    <xf numFmtId="3" fontId="6" fillId="4" borderId="1" applyAlignment="1" pivotButton="0" quotePrefix="0" xfId="0">
      <alignment horizontal="center"/>
    </xf>
    <xf numFmtId="9" fontId="0" fillId="4" borderId="1" applyAlignment="1" pivotButton="0" quotePrefix="0" xfId="0">
      <alignment horizontal="center"/>
    </xf>
    <xf numFmtId="0" fontId="8" fillId="5" borderId="1" applyAlignment="1" pivotButton="0" quotePrefix="0" xfId="0">
      <alignment horizontal="center" vertical="center" wrapText="1"/>
    </xf>
    <xf numFmtId="0" fontId="4" fillId="2" borderId="1" pivotButton="0" quotePrefix="0" xfId="0"/>
    <xf numFmtId="0" fontId="4" fillId="2" borderId="1" applyAlignment="1" pivotButton="0" quotePrefix="0" xfId="0">
      <alignment horizontal="center"/>
    </xf>
    <xf numFmtId="3" fontId="4" fillId="2" borderId="1" pivotButton="0" quotePrefix="0" xfId="0"/>
    <xf numFmtId="2" fontId="6" fillId="0" borderId="1" applyAlignment="1" pivotButton="0" quotePrefix="0" xfId="0">
      <alignment horizontal="center"/>
    </xf>
    <xf numFmtId="0" fontId="0" fillId="0" borderId="1" applyAlignment="1" pivotButton="0" quotePrefix="0" xfId="0">
      <alignment horizontal="center"/>
    </xf>
    <xf numFmtId="3" fontId="9" fillId="4" borderId="1" applyAlignment="1" pivotButton="0" quotePrefix="0" xfId="0">
      <alignment horizontal="center"/>
    </xf>
    <xf numFmtId="2" fontId="9" fillId="4" borderId="1" applyAlignment="1" pivotButton="0" quotePrefix="0" xfId="0">
      <alignment horizontal="center"/>
    </xf>
    <xf numFmtId="3" fontId="7" fillId="4" borderId="1" applyAlignment="1" pivotButton="0" quotePrefix="0" xfId="0">
      <alignment horizontal="center"/>
    </xf>
    <xf numFmtId="10" fontId="7" fillId="4"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5"/>
  <sheetViews>
    <sheetView showGridLines="0" workbookViewId="0">
      <selection activeCell="A1" sqref="A1"/>
    </sheetView>
  </sheetViews>
  <sheetFormatPr baseColWidth="8" defaultRowHeight="15"/>
  <cols>
    <col width="3" customWidth="1" min="1" max="1"/>
    <col width="104" customWidth="1" min="2" max="2"/>
  </cols>
  <sheetData>
    <row r="2">
      <c r="B2" s="1" t="inlineStr">
        <is>
          <t>Pay structure model</t>
        </is>
      </c>
    </row>
    <row r="3">
      <c r="B3" s="2" t="inlineStr">
        <is>
          <t>Quantum Reward  ·  pay analytics and compensation research  ·  v1.0  ·  built 2 August 2026</t>
        </is>
      </c>
    </row>
    <row r="5">
      <c r="B5" t="inlineStr"/>
    </row>
    <row r="6" ht="22" customHeight="1">
      <c r="B6" s="3" t="inlineStr">
        <is>
          <t>What this is</t>
        </is>
      </c>
    </row>
    <row r="7" ht="45" customHeight="1">
      <c r="B7" s="4" t="inlineStr">
        <is>
          <t>A working salary band model. It arrives filled with sample figures for a fictional company of 24 people so you can see it running before you touch anything. Every figure is a live formula. Change an input and the whole model recalculates.</t>
        </is>
      </c>
    </row>
    <row r="8">
      <c r="B8" t="inlineStr"/>
    </row>
    <row r="9" ht="22" customHeight="1">
      <c r="B9" s="3" t="inlineStr">
        <is>
          <t>How to use it, in four steps</t>
        </is>
      </c>
    </row>
    <row r="10" ht="15" customHeight="1">
      <c r="B10" s="4" t="inlineStr">
        <is>
          <t>1.  Open the Inputs sheet. Every cell shaded cream is yours to change. Nothing else needs touching.</t>
        </is>
      </c>
    </row>
    <row r="11" ht="45" customHeight="1">
      <c r="B11" s="4" t="inlineStr">
        <is>
          <t>2.  Open the People sheet. Replace the sample rows with your own. You need four columns: an employee reference, a grade number, a location and a base salary. Names are not required and we would rather you left them out.</t>
        </is>
      </c>
    </row>
    <row r="12" ht="30" customHeight="1">
      <c r="B12" s="4" t="inlineStr">
        <is>
          <t>3.  Read the Summary sheet. It tells you how many people sit below their range minimum, what it costs to fix, and what that is as a share of payroll.</t>
        </is>
      </c>
    </row>
    <row r="13" ht="30" customHeight="1">
      <c r="B13" s="4" t="inlineStr">
        <is>
          <t>4.  The Bands sheet is the structure itself. You do not need to edit it, but every formula is visible if you want to check the arithmetic.</t>
        </is>
      </c>
    </row>
    <row r="14">
      <c r="B14" t="inlineStr"/>
    </row>
    <row r="15" ht="22" customHeight="1">
      <c r="B15" s="3" t="inlineStr">
        <is>
          <t>What it does not do</t>
        </is>
      </c>
    </row>
    <row r="16" ht="45" customHeight="1">
      <c r="B16" s="4" t="inlineStr">
        <is>
          <t>This model does not test for pay equity, does not place individuals, and does not check statutory compliance in any jurisdiction. It builds a structure and prices the gap to it. Those other questions are real and they are simply not what this file answers.</t>
        </is>
      </c>
    </row>
    <row r="17">
      <c r="B17" t="inlineStr"/>
    </row>
    <row r="18" ht="22" customHeight="1">
      <c r="B18" s="3" t="inlineStr">
        <is>
          <t>There are no macros in this file</t>
        </is>
      </c>
    </row>
    <row r="19" ht="45" customHeight="1">
      <c r="B19" s="4" t="inlineStr">
        <is>
          <t>Macro enabled workbooks get blocked by enterprise IT, so there are none. Nothing in here connects to the internet, phones home or transmits anything. You can run it on a machine with no network connection and it will behave identically.</t>
        </is>
      </c>
    </row>
    <row r="20">
      <c r="B20" t="inlineStr"/>
    </row>
    <row r="21" ht="22" customHeight="1">
      <c r="B21" s="3" t="inlineStr">
        <is>
          <t>The arithmetic, stated plainly</t>
        </is>
      </c>
    </row>
    <row r="22" ht="75" customHeight="1">
      <c r="B22" s="4" t="inlineStr">
        <is>
          <t>Midpoint for a grade is the grade below it multiplied by one plus the progression step. Minimum is the midpoint divided by one plus half the range width. Maximum is the minimum multiplied by one plus the range width. Overlap is the part of a grade that also sits inside the grade beneath it, which is not a number you choose. It follows from the width and the step, and that is the point most structures miss.</t>
        </is>
      </c>
    </row>
    <row r="23">
      <c r="B23" t="inlineStr"/>
    </row>
    <row r="24" ht="22" customHeight="1">
      <c r="B24" s="3" t="inlineStr">
        <is>
          <t>If you want this built on your own data</t>
        </is>
      </c>
    </row>
    <row r="25" ht="15" customHeight="1">
      <c r="B25" s="4" t="inlineStr">
        <is>
          <t>hello@quantumreward.com  ·  quantumreward.com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15"/>
  <sheetViews>
    <sheetView showGridLines="0" workbookViewId="0">
      <selection activeCell="A1" sqref="A1"/>
    </sheetView>
  </sheetViews>
  <sheetFormatPr baseColWidth="8" defaultRowHeight="15"/>
  <cols>
    <col width="3" customWidth="1" min="1" max="1"/>
    <col width="42" customWidth="1" min="2" max="2"/>
    <col width="16" customWidth="1" min="3" max="3"/>
    <col width="60" customWidth="1" min="4" max="4"/>
  </cols>
  <sheetData>
    <row r="2">
      <c r="B2" s="5" t="inlineStr">
        <is>
          <t>Inputs</t>
        </is>
      </c>
    </row>
    <row r="3">
      <c r="B3" s="2" t="inlineStr">
        <is>
          <t>Change the cream cells. Everything else in the workbook follows from them.</t>
        </is>
      </c>
    </row>
    <row r="5" ht="30" customHeight="1">
      <c r="B5" s="6" t="inlineStr">
        <is>
          <t>Grade 1 midpoint</t>
        </is>
      </c>
      <c r="C5" s="7" t="n">
        <v>60000</v>
      </c>
      <c r="D5" s="8" t="inlineStr">
        <is>
          <t>The anchor. Every other grade is derived from this one.</t>
        </is>
      </c>
    </row>
    <row r="6" ht="30" customHeight="1">
      <c r="B6" s="6" t="inlineStr">
        <is>
          <t>Range width</t>
        </is>
      </c>
      <c r="C6" s="9" t="n">
        <v>0.48</v>
      </c>
      <c r="D6" s="8" t="inlineStr">
        <is>
          <t>Distance from minimum to maximum. 40 to 50 percent is typical for professional grades.</t>
        </is>
      </c>
    </row>
    <row r="7" ht="30" customHeight="1">
      <c r="B7" s="6" t="inlineStr">
        <is>
          <t>Step between grades</t>
        </is>
      </c>
      <c r="C7" s="9" t="n">
        <v>0.2</v>
      </c>
      <c r="D7" s="8" t="inlineStr">
        <is>
          <t>How much each midpoint rises over the one below it.</t>
        </is>
      </c>
    </row>
    <row r="8" ht="30" customHeight="1">
      <c r="B8" s="6" t="inlineStr">
        <is>
          <t>Employer loading</t>
        </is>
      </c>
      <c r="C8" s="9" t="n">
        <v>0.22</v>
      </c>
      <c r="D8" s="8" t="inlineStr">
        <is>
          <t>Taxes, benefits and bonus flow through, added on top of base pay.</t>
        </is>
      </c>
    </row>
    <row r="9" ht="30" customHeight="1">
      <c r="B9" s="6" t="inlineStr">
        <is>
          <t>Number of grades in use</t>
        </is>
      </c>
      <c r="C9" s="10" t="n">
        <v>6</v>
      </c>
      <c r="D9" s="8" t="inlineStr">
        <is>
          <t>Up to 8. Grades above this are left blank.</t>
        </is>
      </c>
    </row>
    <row r="12">
      <c r="B12" s="3" t="inlineStr">
        <is>
          <t>A sanity check on what you just chose</t>
        </is>
      </c>
    </row>
    <row r="13" ht="46" customHeight="1">
      <c r="B13" s="11" t="inlineStr">
        <is>
          <t>Overlap between adjacent grades</t>
        </is>
      </c>
      <c r="C13" s="12">
        <f>Bands!F7</f>
        <v/>
      </c>
      <c r="D13" s="13">
        <f>IF(Bands!F7&gt;0.6,"Very high. Grades this wide stop meaning different things and a promotion can arrive with no pay movement.",IF(Bands!F7&gt;0.4,"Workable, but on the high side. Check that a promotion still clears a visible step.",IF(Bands!F7&gt;0.15,"Healthy. Enough overlap to reward depth, enough separation to make a promotion mean something.",IF(Bands!F7&gt;0,"Tight. Little room to pay an experienced person below the next grade.","No overlap. Every promotion forces a jump in pay, which gets expensive fast."))))</f>
        <v/>
      </c>
    </row>
    <row r="15">
      <c r="B15" s="2" t="inlineStr">
        <is>
          <t>v1.0  ·  built 2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4"/>
  <sheetViews>
    <sheetView showGridLines="0" workbookViewId="0">
      <selection activeCell="A1" sqref="A1"/>
    </sheetView>
  </sheetViews>
  <sheetFormatPr baseColWidth="8" defaultRowHeight="15"/>
  <cols>
    <col width="10" customWidth="1" min="1" max="1"/>
    <col width="15" customWidth="1" min="2" max="2"/>
    <col width="15" customWidth="1" min="3" max="3"/>
    <col width="15" customWidth="1" min="4" max="4"/>
    <col width="11" customWidth="1" min="5" max="5"/>
    <col width="26" customWidth="1" min="6" max="6"/>
  </cols>
  <sheetData>
    <row r="1">
      <c r="A1" s="5" t="inlineStr">
        <is>
          <t>Band structure</t>
        </is>
      </c>
    </row>
    <row r="2">
      <c r="A2" s="2" t="inlineStr">
        <is>
          <t>Every cell below is a formula. Nothing here is typed in.</t>
        </is>
      </c>
    </row>
    <row r="4" ht="32" customHeight="1">
      <c r="A4" s="14" t="inlineStr">
        <is>
          <t>Grade</t>
        </is>
      </c>
      <c r="B4" s="14" t="inlineStr">
        <is>
          <t>Minimum</t>
        </is>
      </c>
      <c r="C4" s="14" t="inlineStr">
        <is>
          <t>Midpoint</t>
        </is>
      </c>
      <c r="D4" s="14" t="inlineStr">
        <is>
          <t>Maximum</t>
        </is>
      </c>
      <c r="E4" s="14" t="inlineStr">
        <is>
          <t>Width</t>
        </is>
      </c>
      <c r="F4" s="14" t="inlineStr">
        <is>
          <t>Overlap with grade below</t>
        </is>
      </c>
    </row>
    <row r="5">
      <c r="A5" s="15">
        <f>IF(Inputs!$C$9&gt;=1,1,"")</f>
        <v/>
      </c>
      <c r="B5" s="16">
        <f>IF(Inputs!$C$9&gt;=1,C5/(1+Inputs!$C$6/2),"")</f>
        <v/>
      </c>
      <c r="C5" s="17">
        <f>IF(Inputs!$C$9&gt;=1,Inputs!$C$5*(1+Inputs!$C$7)^(1-1),"")</f>
        <v/>
      </c>
      <c r="D5" s="16">
        <f>IF(Inputs!$C$9&gt;=1,B5*(1+Inputs!$C$6),"")</f>
        <v/>
      </c>
      <c r="E5" s="18">
        <f>IF(Inputs!$C$9&gt;=1,D5/B5-1,"")</f>
        <v/>
      </c>
      <c r="F5" s="18">
        <f>IF(A5="","","first grade")</f>
        <v/>
      </c>
    </row>
    <row r="6">
      <c r="A6" s="19">
        <f>IF(Inputs!$C$9&gt;=2,2,"")</f>
        <v/>
      </c>
      <c r="B6" s="20">
        <f>IF(Inputs!$C$9&gt;=2,C6/(1+Inputs!$C$6/2),"")</f>
        <v/>
      </c>
      <c r="C6" s="21">
        <f>IF(Inputs!$C$9&gt;=2,Inputs!$C$5*(1+Inputs!$C$7)^(2-1),"")</f>
        <v/>
      </c>
      <c r="D6" s="20">
        <f>IF(Inputs!$C$9&gt;=2,B6*(1+Inputs!$C$6),"")</f>
        <v/>
      </c>
      <c r="E6" s="22">
        <f>IF(Inputs!$C$9&gt;=2,D6/B6-1,"")</f>
        <v/>
      </c>
      <c r="F6" s="22">
        <f>IF(OR(A6="",A5=""),"",(D5-B6)/(D5-B5))</f>
        <v/>
      </c>
    </row>
    <row r="7">
      <c r="A7" s="15">
        <f>IF(Inputs!$C$9&gt;=3,3,"")</f>
        <v/>
      </c>
      <c r="B7" s="16">
        <f>IF(Inputs!$C$9&gt;=3,C7/(1+Inputs!$C$6/2),"")</f>
        <v/>
      </c>
      <c r="C7" s="17">
        <f>IF(Inputs!$C$9&gt;=3,Inputs!$C$5*(1+Inputs!$C$7)^(3-1),"")</f>
        <v/>
      </c>
      <c r="D7" s="16">
        <f>IF(Inputs!$C$9&gt;=3,B7*(1+Inputs!$C$6),"")</f>
        <v/>
      </c>
      <c r="E7" s="18">
        <f>IF(Inputs!$C$9&gt;=3,D7/B7-1,"")</f>
        <v/>
      </c>
      <c r="F7" s="18">
        <f>IF(OR(A7="",A6=""),"",(D6-B7)/(D6-B6))</f>
        <v/>
      </c>
    </row>
    <row r="8">
      <c r="A8" s="19">
        <f>IF(Inputs!$C$9&gt;=4,4,"")</f>
        <v/>
      </c>
      <c r="B8" s="20">
        <f>IF(Inputs!$C$9&gt;=4,C8/(1+Inputs!$C$6/2),"")</f>
        <v/>
      </c>
      <c r="C8" s="21">
        <f>IF(Inputs!$C$9&gt;=4,Inputs!$C$5*(1+Inputs!$C$7)^(4-1),"")</f>
        <v/>
      </c>
      <c r="D8" s="20">
        <f>IF(Inputs!$C$9&gt;=4,B8*(1+Inputs!$C$6),"")</f>
        <v/>
      </c>
      <c r="E8" s="22">
        <f>IF(Inputs!$C$9&gt;=4,D8/B8-1,"")</f>
        <v/>
      </c>
      <c r="F8" s="22">
        <f>IF(OR(A8="",A7=""),"",(D7-B8)/(D7-B7))</f>
        <v/>
      </c>
    </row>
    <row r="9">
      <c r="A9" s="15">
        <f>IF(Inputs!$C$9&gt;=5,5,"")</f>
        <v/>
      </c>
      <c r="B9" s="16">
        <f>IF(Inputs!$C$9&gt;=5,C9/(1+Inputs!$C$6/2),"")</f>
        <v/>
      </c>
      <c r="C9" s="17">
        <f>IF(Inputs!$C$9&gt;=5,Inputs!$C$5*(1+Inputs!$C$7)^(5-1),"")</f>
        <v/>
      </c>
      <c r="D9" s="16">
        <f>IF(Inputs!$C$9&gt;=5,B9*(1+Inputs!$C$6),"")</f>
        <v/>
      </c>
      <c r="E9" s="18">
        <f>IF(Inputs!$C$9&gt;=5,D9/B9-1,"")</f>
        <v/>
      </c>
      <c r="F9" s="18">
        <f>IF(OR(A9="",A8=""),"",(D8-B9)/(D8-B8))</f>
        <v/>
      </c>
    </row>
    <row r="10">
      <c r="A10" s="19">
        <f>IF(Inputs!$C$9&gt;=6,6,"")</f>
        <v/>
      </c>
      <c r="B10" s="20">
        <f>IF(Inputs!$C$9&gt;=6,C10/(1+Inputs!$C$6/2),"")</f>
        <v/>
      </c>
      <c r="C10" s="21">
        <f>IF(Inputs!$C$9&gt;=6,Inputs!$C$5*(1+Inputs!$C$7)^(6-1),"")</f>
        <v/>
      </c>
      <c r="D10" s="20">
        <f>IF(Inputs!$C$9&gt;=6,B10*(1+Inputs!$C$6),"")</f>
        <v/>
      </c>
      <c r="E10" s="22">
        <f>IF(Inputs!$C$9&gt;=6,D10/B10-1,"")</f>
        <v/>
      </c>
      <c r="F10" s="22">
        <f>IF(OR(A10="",A9=""),"",(D9-B10)/(D9-B9))</f>
        <v/>
      </c>
    </row>
    <row r="11">
      <c r="A11" s="15">
        <f>IF(Inputs!$C$9&gt;=7,7,"")</f>
        <v/>
      </c>
      <c r="B11" s="16">
        <f>IF(Inputs!$C$9&gt;=7,C11/(1+Inputs!$C$6/2),"")</f>
        <v/>
      </c>
      <c r="C11" s="17">
        <f>IF(Inputs!$C$9&gt;=7,Inputs!$C$5*(1+Inputs!$C$7)^(7-1),"")</f>
        <v/>
      </c>
      <c r="D11" s="16">
        <f>IF(Inputs!$C$9&gt;=7,B11*(1+Inputs!$C$6),"")</f>
        <v/>
      </c>
      <c r="E11" s="18">
        <f>IF(Inputs!$C$9&gt;=7,D11/B11-1,"")</f>
        <v/>
      </c>
      <c r="F11" s="18">
        <f>IF(OR(A11="",A10=""),"",(D10-B11)/(D10-B10))</f>
        <v/>
      </c>
    </row>
    <row r="12">
      <c r="A12" s="19">
        <f>IF(Inputs!$C$9&gt;=8,8,"")</f>
        <v/>
      </c>
      <c r="B12" s="20">
        <f>IF(Inputs!$C$9&gt;=8,C12/(1+Inputs!$C$6/2),"")</f>
        <v/>
      </c>
      <c r="C12" s="21">
        <f>IF(Inputs!$C$9&gt;=8,Inputs!$C$5*(1+Inputs!$C$7)^(8-1),"")</f>
        <v/>
      </c>
      <c r="D12" s="20">
        <f>IF(Inputs!$C$9&gt;=8,B12*(1+Inputs!$C$6),"")</f>
        <v/>
      </c>
      <c r="E12" s="22">
        <f>IF(Inputs!$C$9&gt;=8,D12/B12-1,"")</f>
        <v/>
      </c>
      <c r="F12" s="22">
        <f>IF(OR(A12="",A11=""),"",(D11-B12)/(D11-B11))</f>
        <v/>
      </c>
    </row>
    <row r="14">
      <c r="A14" s="2" t="inlineStr">
        <is>
          <t>Overlap is not something you set. You choose the width and the step, and the overlap is then already decided.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8"/>
  <sheetViews>
    <sheetView showGridLines="0" workbookViewId="0">
      <pane ySplit="4" topLeftCell="A5" activePane="bottomLeft" state="frozen"/>
      <selection pane="bottomLeft" activeCell="A1" sqref="A1"/>
    </sheetView>
  </sheetViews>
  <sheetFormatPr baseColWidth="8" defaultRowHeight="15"/>
  <cols>
    <col width="13" customWidth="1" min="1" max="1"/>
    <col width="8" customWidth="1" min="2" max="2"/>
    <col width="14" customWidth="1" min="3" max="3"/>
    <col width="14" customWidth="1" min="4" max="4"/>
    <col width="13" customWidth="1" min="5" max="5"/>
    <col width="13" customWidth="1" min="6" max="6"/>
    <col width="13" customWidth="1" min="7" max="7"/>
    <col width="13" customWidth="1" min="8" max="8"/>
    <col width="17" customWidth="1" min="9" max="9"/>
    <col width="18" customWidth="1" min="10" max="10"/>
    <col width="20" customWidth="1" min="11" max="11"/>
  </cols>
  <sheetData>
    <row r="1">
      <c r="A1" s="5" t="inlineStr">
        <is>
          <t>People</t>
        </is>
      </c>
    </row>
    <row r="2">
      <c r="A2" s="2" t="inlineStr">
        <is>
          <t>Replace the sample rows with your own. Four cream columns are all you need. Names are not required.</t>
        </is>
      </c>
    </row>
    <row r="4" ht="34" customHeight="1">
      <c r="A4" s="23" t="inlineStr">
        <is>
          <t>Reference</t>
        </is>
      </c>
      <c r="B4" s="23" t="inlineStr">
        <is>
          <t>Grade</t>
        </is>
      </c>
      <c r="C4" s="23" t="inlineStr">
        <is>
          <t>Location</t>
        </is>
      </c>
      <c r="D4" s="23" t="inlineStr">
        <is>
          <t>Base salary</t>
        </is>
      </c>
      <c r="E4" s="14" t="inlineStr">
        <is>
          <t>Midpoint</t>
        </is>
      </c>
      <c r="F4" s="14" t="inlineStr">
        <is>
          <t>Minimum</t>
        </is>
      </c>
      <c r="G4" s="14" t="inlineStr">
        <is>
          <t>Maximum</t>
        </is>
      </c>
      <c r="H4" s="14" t="inlineStr">
        <is>
          <t>Compa ratio</t>
        </is>
      </c>
      <c r="I4" s="14" t="inlineStr">
        <is>
          <t>Position in range</t>
        </is>
      </c>
      <c r="J4" s="14" t="inlineStr">
        <is>
          <t>Status</t>
        </is>
      </c>
      <c r="K4" s="14" t="inlineStr">
        <is>
          <t>Cost to reach minimum</t>
        </is>
      </c>
    </row>
    <row r="5">
      <c r="A5" s="24" t="inlineStr">
        <is>
          <t>E-1001</t>
        </is>
      </c>
      <c r="B5" s="25" t="n">
        <v>1</v>
      </c>
      <c r="C5" s="24" t="inlineStr">
        <is>
          <t>Warsaw</t>
        </is>
      </c>
      <c r="D5" s="26" t="n">
        <v>44200</v>
      </c>
      <c r="E5" s="16">
        <f>IFERROR(INDEX(Bands!$C$5:$C$12,MATCH($B5,Bands!$A$5:$A$12,0)),"")</f>
        <v/>
      </c>
      <c r="F5" s="16">
        <f>IFERROR(INDEX(Bands!$B$5:$B$12,MATCH($B5,Bands!$A$5:$A$12,0)),"")</f>
        <v/>
      </c>
      <c r="G5" s="16">
        <f>IFERROR(INDEX(Bands!$D$5:$D$12,MATCH($B5,Bands!$A$5:$A$12,0)),"")</f>
        <v/>
      </c>
      <c r="H5" s="27">
        <f>IFERROR($D5/E5,"")</f>
        <v/>
      </c>
      <c r="I5" s="18">
        <f>IFERROR(($D5-F5)/(G5-F5),"")</f>
        <v/>
      </c>
      <c r="J5" s="28">
        <f>IFERROR(IF($D5&lt;F5,"Below minimum",IF($D5&gt;G5,"Above maximum","In range")),"")</f>
        <v/>
      </c>
      <c r="K5" s="16">
        <f>IFERROR(MAX(0,F5-$D5),"")</f>
        <v/>
      </c>
    </row>
    <row r="6">
      <c r="A6" s="24" t="inlineStr">
        <is>
          <t>E-1002</t>
        </is>
      </c>
      <c r="B6" s="25" t="n">
        <v>1</v>
      </c>
      <c r="C6" s="24" t="inlineStr">
        <is>
          <t>Warsaw</t>
        </is>
      </c>
      <c r="D6" s="26" t="n">
        <v>51800</v>
      </c>
      <c r="E6" s="16">
        <f>IFERROR(INDEX(Bands!$C$5:$C$12,MATCH($B6,Bands!$A$5:$A$12,0)),"")</f>
        <v/>
      </c>
      <c r="F6" s="16">
        <f>IFERROR(INDEX(Bands!$B$5:$B$12,MATCH($B6,Bands!$A$5:$A$12,0)),"")</f>
        <v/>
      </c>
      <c r="G6" s="16">
        <f>IFERROR(INDEX(Bands!$D$5:$D$12,MATCH($B6,Bands!$A$5:$A$12,0)),"")</f>
        <v/>
      </c>
      <c r="H6" s="27">
        <f>IFERROR($D6/E6,"")</f>
        <v/>
      </c>
      <c r="I6" s="18">
        <f>IFERROR(($D6-F6)/(G6-F6),"")</f>
        <v/>
      </c>
      <c r="J6" s="28">
        <f>IFERROR(IF($D6&lt;F6,"Below minimum",IF($D6&gt;G6,"Above maximum","In range")),"")</f>
        <v/>
      </c>
      <c r="K6" s="16">
        <f>IFERROR(MAX(0,F6-$D6),"")</f>
        <v/>
      </c>
    </row>
    <row r="7">
      <c r="A7" s="24" t="inlineStr">
        <is>
          <t>E-1003</t>
        </is>
      </c>
      <c r="B7" s="25" t="n">
        <v>2</v>
      </c>
      <c r="C7" s="24" t="inlineStr">
        <is>
          <t>Warsaw</t>
        </is>
      </c>
      <c r="D7" s="26" t="n">
        <v>52400</v>
      </c>
      <c r="E7" s="16">
        <f>IFERROR(INDEX(Bands!$C$5:$C$12,MATCH($B7,Bands!$A$5:$A$12,0)),"")</f>
        <v/>
      </c>
      <c r="F7" s="16">
        <f>IFERROR(INDEX(Bands!$B$5:$B$12,MATCH($B7,Bands!$A$5:$A$12,0)),"")</f>
        <v/>
      </c>
      <c r="G7" s="16">
        <f>IFERROR(INDEX(Bands!$D$5:$D$12,MATCH($B7,Bands!$A$5:$A$12,0)),"")</f>
        <v/>
      </c>
      <c r="H7" s="27">
        <f>IFERROR($D7/E7,"")</f>
        <v/>
      </c>
      <c r="I7" s="18">
        <f>IFERROR(($D7-F7)/(G7-F7),"")</f>
        <v/>
      </c>
      <c r="J7" s="28">
        <f>IFERROR(IF($D7&lt;F7,"Below minimum",IF($D7&gt;G7,"Above maximum","In range")),"")</f>
        <v/>
      </c>
      <c r="K7" s="16">
        <f>IFERROR(MAX(0,F7-$D7),"")</f>
        <v/>
      </c>
    </row>
    <row r="8">
      <c r="A8" s="24" t="inlineStr">
        <is>
          <t>E-1004</t>
        </is>
      </c>
      <c r="B8" s="25" t="n">
        <v>2</v>
      </c>
      <c r="C8" s="24" t="inlineStr">
        <is>
          <t>London</t>
        </is>
      </c>
      <c r="D8" s="26" t="n">
        <v>61900</v>
      </c>
      <c r="E8" s="16">
        <f>IFERROR(INDEX(Bands!$C$5:$C$12,MATCH($B8,Bands!$A$5:$A$12,0)),"")</f>
        <v/>
      </c>
      <c r="F8" s="16">
        <f>IFERROR(INDEX(Bands!$B$5:$B$12,MATCH($B8,Bands!$A$5:$A$12,0)),"")</f>
        <v/>
      </c>
      <c r="G8" s="16">
        <f>IFERROR(INDEX(Bands!$D$5:$D$12,MATCH($B8,Bands!$A$5:$A$12,0)),"")</f>
        <v/>
      </c>
      <c r="H8" s="27">
        <f>IFERROR($D8/E8,"")</f>
        <v/>
      </c>
      <c r="I8" s="18">
        <f>IFERROR(($D8-F8)/(G8-F8),"")</f>
        <v/>
      </c>
      <c r="J8" s="28">
        <f>IFERROR(IF($D8&lt;F8,"Below minimum",IF($D8&gt;G8,"Above maximum","In range")),"")</f>
        <v/>
      </c>
      <c r="K8" s="16">
        <f>IFERROR(MAX(0,F8-$D8),"")</f>
        <v/>
      </c>
    </row>
    <row r="9">
      <c r="A9" s="24" t="inlineStr">
        <is>
          <t>E-1005</t>
        </is>
      </c>
      <c r="B9" s="25" t="n">
        <v>2</v>
      </c>
      <c r="C9" s="24" t="inlineStr">
        <is>
          <t>London</t>
        </is>
      </c>
      <c r="D9" s="26" t="n">
        <v>89400</v>
      </c>
      <c r="E9" s="16">
        <f>IFERROR(INDEX(Bands!$C$5:$C$12,MATCH($B9,Bands!$A$5:$A$12,0)),"")</f>
        <v/>
      </c>
      <c r="F9" s="16">
        <f>IFERROR(INDEX(Bands!$B$5:$B$12,MATCH($B9,Bands!$A$5:$A$12,0)),"")</f>
        <v/>
      </c>
      <c r="G9" s="16">
        <f>IFERROR(INDEX(Bands!$D$5:$D$12,MATCH($B9,Bands!$A$5:$A$12,0)),"")</f>
        <v/>
      </c>
      <c r="H9" s="27">
        <f>IFERROR($D9/E9,"")</f>
        <v/>
      </c>
      <c r="I9" s="18">
        <f>IFERROR(($D9-F9)/(G9-F9),"")</f>
        <v/>
      </c>
      <c r="J9" s="28">
        <f>IFERROR(IF($D9&lt;F9,"Below minimum",IF($D9&gt;G9,"Above maximum","In range")),"")</f>
        <v/>
      </c>
      <c r="K9" s="16">
        <f>IFERROR(MAX(0,F9-$D9),"")</f>
        <v/>
      </c>
    </row>
    <row r="10">
      <c r="A10" s="24" t="inlineStr">
        <is>
          <t>E-1006</t>
        </is>
      </c>
      <c r="B10" s="25" t="n">
        <v>3</v>
      </c>
      <c r="C10" s="24" t="inlineStr">
        <is>
          <t>Warsaw</t>
        </is>
      </c>
      <c r="D10" s="26" t="n">
        <v>63100</v>
      </c>
      <c r="E10" s="16">
        <f>IFERROR(INDEX(Bands!$C$5:$C$12,MATCH($B10,Bands!$A$5:$A$12,0)),"")</f>
        <v/>
      </c>
      <c r="F10" s="16">
        <f>IFERROR(INDEX(Bands!$B$5:$B$12,MATCH($B10,Bands!$A$5:$A$12,0)),"")</f>
        <v/>
      </c>
      <c r="G10" s="16">
        <f>IFERROR(INDEX(Bands!$D$5:$D$12,MATCH($B10,Bands!$A$5:$A$12,0)),"")</f>
        <v/>
      </c>
      <c r="H10" s="27">
        <f>IFERROR($D10/E10,"")</f>
        <v/>
      </c>
      <c r="I10" s="18">
        <f>IFERROR(($D10-F10)/(G10-F10),"")</f>
        <v/>
      </c>
      <c r="J10" s="28">
        <f>IFERROR(IF($D10&lt;F10,"Below minimum",IF($D10&gt;G10,"Above maximum","In range")),"")</f>
        <v/>
      </c>
      <c r="K10" s="16">
        <f>IFERROR(MAX(0,F10-$D10),"")</f>
        <v/>
      </c>
    </row>
    <row r="11">
      <c r="A11" s="24" t="inlineStr">
        <is>
          <t>E-1007</t>
        </is>
      </c>
      <c r="B11" s="25" t="n">
        <v>3</v>
      </c>
      <c r="C11" s="24" t="inlineStr">
        <is>
          <t>London</t>
        </is>
      </c>
      <c r="D11" s="26" t="n">
        <v>78600</v>
      </c>
      <c r="E11" s="16">
        <f>IFERROR(INDEX(Bands!$C$5:$C$12,MATCH($B11,Bands!$A$5:$A$12,0)),"")</f>
        <v/>
      </c>
      <c r="F11" s="16">
        <f>IFERROR(INDEX(Bands!$B$5:$B$12,MATCH($B11,Bands!$A$5:$A$12,0)),"")</f>
        <v/>
      </c>
      <c r="G11" s="16">
        <f>IFERROR(INDEX(Bands!$D$5:$D$12,MATCH($B11,Bands!$A$5:$A$12,0)),"")</f>
        <v/>
      </c>
      <c r="H11" s="27">
        <f>IFERROR($D11/E11,"")</f>
        <v/>
      </c>
      <c r="I11" s="18">
        <f>IFERROR(($D11-F11)/(G11-F11),"")</f>
        <v/>
      </c>
      <c r="J11" s="28">
        <f>IFERROR(IF($D11&lt;F11,"Below minimum",IF($D11&gt;G11,"Above maximum","In range")),"")</f>
        <v/>
      </c>
      <c r="K11" s="16">
        <f>IFERROR(MAX(0,F11-$D11),"")</f>
        <v/>
      </c>
    </row>
    <row r="12">
      <c r="A12" s="24" t="inlineStr">
        <is>
          <t>E-1008</t>
        </is>
      </c>
      <c r="B12" s="25" t="n">
        <v>3</v>
      </c>
      <c r="C12" s="24" t="inlineStr">
        <is>
          <t>London</t>
        </is>
      </c>
      <c r="D12" s="26" t="n">
        <v>84200</v>
      </c>
      <c r="E12" s="16">
        <f>IFERROR(INDEX(Bands!$C$5:$C$12,MATCH($B12,Bands!$A$5:$A$12,0)),"")</f>
        <v/>
      </c>
      <c r="F12" s="16">
        <f>IFERROR(INDEX(Bands!$B$5:$B$12,MATCH($B12,Bands!$A$5:$A$12,0)),"")</f>
        <v/>
      </c>
      <c r="G12" s="16">
        <f>IFERROR(INDEX(Bands!$D$5:$D$12,MATCH($B12,Bands!$A$5:$A$12,0)),"")</f>
        <v/>
      </c>
      <c r="H12" s="27">
        <f>IFERROR($D12/E12,"")</f>
        <v/>
      </c>
      <c r="I12" s="18">
        <f>IFERROR(($D12-F12)/(G12-F12),"")</f>
        <v/>
      </c>
      <c r="J12" s="28">
        <f>IFERROR(IF($D12&lt;F12,"Below minimum",IF($D12&gt;G12,"Above maximum","In range")),"")</f>
        <v/>
      </c>
      <c r="K12" s="16">
        <f>IFERROR(MAX(0,F12-$D12),"")</f>
        <v/>
      </c>
    </row>
    <row r="13">
      <c r="A13" s="24" t="inlineStr">
        <is>
          <t>E-1009</t>
        </is>
      </c>
      <c r="B13" s="25" t="n">
        <v>3</v>
      </c>
      <c r="C13" s="24" t="inlineStr">
        <is>
          <t>Chicago</t>
        </is>
      </c>
      <c r="D13" s="26" t="n">
        <v>91500</v>
      </c>
      <c r="E13" s="16">
        <f>IFERROR(INDEX(Bands!$C$5:$C$12,MATCH($B13,Bands!$A$5:$A$12,0)),"")</f>
        <v/>
      </c>
      <c r="F13" s="16">
        <f>IFERROR(INDEX(Bands!$B$5:$B$12,MATCH($B13,Bands!$A$5:$A$12,0)),"")</f>
        <v/>
      </c>
      <c r="G13" s="16">
        <f>IFERROR(INDEX(Bands!$D$5:$D$12,MATCH($B13,Bands!$A$5:$A$12,0)),"")</f>
        <v/>
      </c>
      <c r="H13" s="27">
        <f>IFERROR($D13/E13,"")</f>
        <v/>
      </c>
      <c r="I13" s="18">
        <f>IFERROR(($D13-F13)/(G13-F13),"")</f>
        <v/>
      </c>
      <c r="J13" s="28">
        <f>IFERROR(IF($D13&lt;F13,"Below minimum",IF($D13&gt;G13,"Above maximum","In range")),"")</f>
        <v/>
      </c>
      <c r="K13" s="16">
        <f>IFERROR(MAX(0,F13-$D13),"")</f>
        <v/>
      </c>
    </row>
    <row r="14">
      <c r="A14" s="24" t="inlineStr">
        <is>
          <t>E-1010</t>
        </is>
      </c>
      <c r="B14" s="25" t="n">
        <v>4</v>
      </c>
      <c r="C14" s="24" t="inlineStr">
        <is>
          <t>Warsaw</t>
        </is>
      </c>
      <c r="D14" s="26" t="n">
        <v>79400</v>
      </c>
      <c r="E14" s="16">
        <f>IFERROR(INDEX(Bands!$C$5:$C$12,MATCH($B14,Bands!$A$5:$A$12,0)),"")</f>
        <v/>
      </c>
      <c r="F14" s="16">
        <f>IFERROR(INDEX(Bands!$B$5:$B$12,MATCH($B14,Bands!$A$5:$A$12,0)),"")</f>
        <v/>
      </c>
      <c r="G14" s="16">
        <f>IFERROR(INDEX(Bands!$D$5:$D$12,MATCH($B14,Bands!$A$5:$A$12,0)),"")</f>
        <v/>
      </c>
      <c r="H14" s="27">
        <f>IFERROR($D14/E14,"")</f>
        <v/>
      </c>
      <c r="I14" s="18">
        <f>IFERROR(($D14-F14)/(G14-F14),"")</f>
        <v/>
      </c>
      <c r="J14" s="28">
        <f>IFERROR(IF($D14&lt;F14,"Below minimum",IF($D14&gt;G14,"Above maximum","In range")),"")</f>
        <v/>
      </c>
      <c r="K14" s="16">
        <f>IFERROR(MAX(0,F14-$D14),"")</f>
        <v/>
      </c>
    </row>
    <row r="15">
      <c r="A15" s="24" t="inlineStr">
        <is>
          <t>E-1011</t>
        </is>
      </c>
      <c r="B15" s="25" t="n">
        <v>4</v>
      </c>
      <c r="C15" s="24" t="inlineStr">
        <is>
          <t>London</t>
        </is>
      </c>
      <c r="D15" s="26" t="n">
        <v>96800</v>
      </c>
      <c r="E15" s="16">
        <f>IFERROR(INDEX(Bands!$C$5:$C$12,MATCH($B15,Bands!$A$5:$A$12,0)),"")</f>
        <v/>
      </c>
      <c r="F15" s="16">
        <f>IFERROR(INDEX(Bands!$B$5:$B$12,MATCH($B15,Bands!$A$5:$A$12,0)),"")</f>
        <v/>
      </c>
      <c r="G15" s="16">
        <f>IFERROR(INDEX(Bands!$D$5:$D$12,MATCH($B15,Bands!$A$5:$A$12,0)),"")</f>
        <v/>
      </c>
      <c r="H15" s="27">
        <f>IFERROR($D15/E15,"")</f>
        <v/>
      </c>
      <c r="I15" s="18">
        <f>IFERROR(($D15-F15)/(G15-F15),"")</f>
        <v/>
      </c>
      <c r="J15" s="28">
        <f>IFERROR(IF($D15&lt;F15,"Below minimum",IF($D15&gt;G15,"Above maximum","In range")),"")</f>
        <v/>
      </c>
      <c r="K15" s="16">
        <f>IFERROR(MAX(0,F15-$D15),"")</f>
        <v/>
      </c>
    </row>
    <row r="16">
      <c r="A16" s="24" t="inlineStr">
        <is>
          <t>E-1012</t>
        </is>
      </c>
      <c r="B16" s="25" t="n">
        <v>4</v>
      </c>
      <c r="C16" s="24" t="inlineStr">
        <is>
          <t>London</t>
        </is>
      </c>
      <c r="D16" s="26" t="n">
        <v>104300</v>
      </c>
      <c r="E16" s="16">
        <f>IFERROR(INDEX(Bands!$C$5:$C$12,MATCH($B16,Bands!$A$5:$A$12,0)),"")</f>
        <v/>
      </c>
      <c r="F16" s="16">
        <f>IFERROR(INDEX(Bands!$B$5:$B$12,MATCH($B16,Bands!$A$5:$A$12,0)),"")</f>
        <v/>
      </c>
      <c r="G16" s="16">
        <f>IFERROR(INDEX(Bands!$D$5:$D$12,MATCH($B16,Bands!$A$5:$A$12,0)),"")</f>
        <v/>
      </c>
      <c r="H16" s="27">
        <f>IFERROR($D16/E16,"")</f>
        <v/>
      </c>
      <c r="I16" s="18">
        <f>IFERROR(($D16-F16)/(G16-F16),"")</f>
        <v/>
      </c>
      <c r="J16" s="28">
        <f>IFERROR(IF($D16&lt;F16,"Below minimum",IF($D16&gt;G16,"Above maximum","In range")),"")</f>
        <v/>
      </c>
      <c r="K16" s="16">
        <f>IFERROR(MAX(0,F16-$D16),"")</f>
        <v/>
      </c>
    </row>
    <row r="17">
      <c r="A17" s="24" t="inlineStr">
        <is>
          <t>E-1013</t>
        </is>
      </c>
      <c r="B17" s="25" t="n">
        <v>4</v>
      </c>
      <c r="C17" s="24" t="inlineStr">
        <is>
          <t>Chicago</t>
        </is>
      </c>
      <c r="D17" s="26" t="n">
        <v>112700</v>
      </c>
      <c r="E17" s="16">
        <f>IFERROR(INDEX(Bands!$C$5:$C$12,MATCH($B17,Bands!$A$5:$A$12,0)),"")</f>
        <v/>
      </c>
      <c r="F17" s="16">
        <f>IFERROR(INDEX(Bands!$B$5:$B$12,MATCH($B17,Bands!$A$5:$A$12,0)),"")</f>
        <v/>
      </c>
      <c r="G17" s="16">
        <f>IFERROR(INDEX(Bands!$D$5:$D$12,MATCH($B17,Bands!$A$5:$A$12,0)),"")</f>
        <v/>
      </c>
      <c r="H17" s="27">
        <f>IFERROR($D17/E17,"")</f>
        <v/>
      </c>
      <c r="I17" s="18">
        <f>IFERROR(($D17-F17)/(G17-F17),"")</f>
        <v/>
      </c>
      <c r="J17" s="28">
        <f>IFERROR(IF($D17&lt;F17,"Below minimum",IF($D17&gt;G17,"Above maximum","In range")),"")</f>
        <v/>
      </c>
      <c r="K17" s="16">
        <f>IFERROR(MAX(0,F17-$D17),"")</f>
        <v/>
      </c>
    </row>
    <row r="18">
      <c r="A18" s="24" t="inlineStr">
        <is>
          <t>E-1014</t>
        </is>
      </c>
      <c r="B18" s="25" t="n">
        <v>5</v>
      </c>
      <c r="C18" s="24" t="inlineStr">
        <is>
          <t>London</t>
        </is>
      </c>
      <c r="D18" s="26" t="n">
        <v>118400</v>
      </c>
      <c r="E18" s="16">
        <f>IFERROR(INDEX(Bands!$C$5:$C$12,MATCH($B18,Bands!$A$5:$A$12,0)),"")</f>
        <v/>
      </c>
      <c r="F18" s="16">
        <f>IFERROR(INDEX(Bands!$B$5:$B$12,MATCH($B18,Bands!$A$5:$A$12,0)),"")</f>
        <v/>
      </c>
      <c r="G18" s="16">
        <f>IFERROR(INDEX(Bands!$D$5:$D$12,MATCH($B18,Bands!$A$5:$A$12,0)),"")</f>
        <v/>
      </c>
      <c r="H18" s="27">
        <f>IFERROR($D18/E18,"")</f>
        <v/>
      </c>
      <c r="I18" s="18">
        <f>IFERROR(($D18-F18)/(G18-F18),"")</f>
        <v/>
      </c>
      <c r="J18" s="28">
        <f>IFERROR(IF($D18&lt;F18,"Below minimum",IF($D18&gt;G18,"Above maximum","In range")),"")</f>
        <v/>
      </c>
      <c r="K18" s="16">
        <f>IFERROR(MAX(0,F18-$D18),"")</f>
        <v/>
      </c>
    </row>
    <row r="19">
      <c r="A19" s="24" t="inlineStr">
        <is>
          <t>E-1015</t>
        </is>
      </c>
      <c r="B19" s="25" t="n">
        <v>5</v>
      </c>
      <c r="C19" s="24" t="inlineStr">
        <is>
          <t>London</t>
        </is>
      </c>
      <c r="D19" s="26" t="n">
        <v>131900</v>
      </c>
      <c r="E19" s="16">
        <f>IFERROR(INDEX(Bands!$C$5:$C$12,MATCH($B19,Bands!$A$5:$A$12,0)),"")</f>
        <v/>
      </c>
      <c r="F19" s="16">
        <f>IFERROR(INDEX(Bands!$B$5:$B$12,MATCH($B19,Bands!$A$5:$A$12,0)),"")</f>
        <v/>
      </c>
      <c r="G19" s="16">
        <f>IFERROR(INDEX(Bands!$D$5:$D$12,MATCH($B19,Bands!$A$5:$A$12,0)),"")</f>
        <v/>
      </c>
      <c r="H19" s="27">
        <f>IFERROR($D19/E19,"")</f>
        <v/>
      </c>
      <c r="I19" s="18">
        <f>IFERROR(($D19-F19)/(G19-F19),"")</f>
        <v/>
      </c>
      <c r="J19" s="28">
        <f>IFERROR(IF($D19&lt;F19,"Below minimum",IF($D19&gt;G19,"Above maximum","In range")),"")</f>
        <v/>
      </c>
      <c r="K19" s="16">
        <f>IFERROR(MAX(0,F19-$D19),"")</f>
        <v/>
      </c>
    </row>
    <row r="20">
      <c r="A20" s="24" t="inlineStr">
        <is>
          <t>E-1016</t>
        </is>
      </c>
      <c r="B20" s="25" t="n">
        <v>5</v>
      </c>
      <c r="C20" s="24" t="inlineStr">
        <is>
          <t>Chicago</t>
        </is>
      </c>
      <c r="D20" s="26" t="n">
        <v>142600</v>
      </c>
      <c r="E20" s="16">
        <f>IFERROR(INDEX(Bands!$C$5:$C$12,MATCH($B20,Bands!$A$5:$A$12,0)),"")</f>
        <v/>
      </c>
      <c r="F20" s="16">
        <f>IFERROR(INDEX(Bands!$B$5:$B$12,MATCH($B20,Bands!$A$5:$A$12,0)),"")</f>
        <v/>
      </c>
      <c r="G20" s="16">
        <f>IFERROR(INDEX(Bands!$D$5:$D$12,MATCH($B20,Bands!$A$5:$A$12,0)),"")</f>
        <v/>
      </c>
      <c r="H20" s="27">
        <f>IFERROR($D20/E20,"")</f>
        <v/>
      </c>
      <c r="I20" s="18">
        <f>IFERROR(($D20-F20)/(G20-F20),"")</f>
        <v/>
      </c>
      <c r="J20" s="28">
        <f>IFERROR(IF($D20&lt;F20,"Below minimum",IF($D20&gt;G20,"Above maximum","In range")),"")</f>
        <v/>
      </c>
      <c r="K20" s="16">
        <f>IFERROR(MAX(0,F20-$D20),"")</f>
        <v/>
      </c>
    </row>
    <row r="21">
      <c r="A21" s="24" t="inlineStr">
        <is>
          <t>E-1017</t>
        </is>
      </c>
      <c r="B21" s="25" t="n">
        <v>5</v>
      </c>
      <c r="C21" s="24" t="inlineStr">
        <is>
          <t>Warsaw</t>
        </is>
      </c>
      <c r="D21" s="26" t="n">
        <v>96200</v>
      </c>
      <c r="E21" s="16">
        <f>IFERROR(INDEX(Bands!$C$5:$C$12,MATCH($B21,Bands!$A$5:$A$12,0)),"")</f>
        <v/>
      </c>
      <c r="F21" s="16">
        <f>IFERROR(INDEX(Bands!$B$5:$B$12,MATCH($B21,Bands!$A$5:$A$12,0)),"")</f>
        <v/>
      </c>
      <c r="G21" s="16">
        <f>IFERROR(INDEX(Bands!$D$5:$D$12,MATCH($B21,Bands!$A$5:$A$12,0)),"")</f>
        <v/>
      </c>
      <c r="H21" s="27">
        <f>IFERROR($D21/E21,"")</f>
        <v/>
      </c>
      <c r="I21" s="18">
        <f>IFERROR(($D21-F21)/(G21-F21),"")</f>
        <v/>
      </c>
      <c r="J21" s="28">
        <f>IFERROR(IF($D21&lt;F21,"Below minimum",IF($D21&gt;G21,"Above maximum","In range")),"")</f>
        <v/>
      </c>
      <c r="K21" s="16">
        <f>IFERROR(MAX(0,F21-$D21),"")</f>
        <v/>
      </c>
    </row>
    <row r="22">
      <c r="A22" s="24" t="inlineStr">
        <is>
          <t>E-1018</t>
        </is>
      </c>
      <c r="B22" s="25" t="n">
        <v>6</v>
      </c>
      <c r="C22" s="24" t="inlineStr">
        <is>
          <t>London</t>
        </is>
      </c>
      <c r="D22" s="26" t="n">
        <v>158300</v>
      </c>
      <c r="E22" s="16">
        <f>IFERROR(INDEX(Bands!$C$5:$C$12,MATCH($B22,Bands!$A$5:$A$12,0)),"")</f>
        <v/>
      </c>
      <c r="F22" s="16">
        <f>IFERROR(INDEX(Bands!$B$5:$B$12,MATCH($B22,Bands!$A$5:$A$12,0)),"")</f>
        <v/>
      </c>
      <c r="G22" s="16">
        <f>IFERROR(INDEX(Bands!$D$5:$D$12,MATCH($B22,Bands!$A$5:$A$12,0)),"")</f>
        <v/>
      </c>
      <c r="H22" s="27">
        <f>IFERROR($D22/E22,"")</f>
        <v/>
      </c>
      <c r="I22" s="18">
        <f>IFERROR(($D22-F22)/(G22-F22),"")</f>
        <v/>
      </c>
      <c r="J22" s="28">
        <f>IFERROR(IF($D22&lt;F22,"Below minimum",IF($D22&gt;G22,"Above maximum","In range")),"")</f>
        <v/>
      </c>
      <c r="K22" s="16">
        <f>IFERROR(MAX(0,F22-$D22),"")</f>
        <v/>
      </c>
    </row>
    <row r="23">
      <c r="A23" s="24" t="inlineStr">
        <is>
          <t>E-1019</t>
        </is>
      </c>
      <c r="B23" s="25" t="n">
        <v>6</v>
      </c>
      <c r="C23" s="24" t="inlineStr">
        <is>
          <t>Chicago</t>
        </is>
      </c>
      <c r="D23" s="26" t="n">
        <v>184500</v>
      </c>
      <c r="E23" s="16">
        <f>IFERROR(INDEX(Bands!$C$5:$C$12,MATCH($B23,Bands!$A$5:$A$12,0)),"")</f>
        <v/>
      </c>
      <c r="F23" s="16">
        <f>IFERROR(INDEX(Bands!$B$5:$B$12,MATCH($B23,Bands!$A$5:$A$12,0)),"")</f>
        <v/>
      </c>
      <c r="G23" s="16">
        <f>IFERROR(INDEX(Bands!$D$5:$D$12,MATCH($B23,Bands!$A$5:$A$12,0)),"")</f>
        <v/>
      </c>
      <c r="H23" s="27">
        <f>IFERROR($D23/E23,"")</f>
        <v/>
      </c>
      <c r="I23" s="18">
        <f>IFERROR(($D23-F23)/(G23-F23),"")</f>
        <v/>
      </c>
      <c r="J23" s="28">
        <f>IFERROR(IF($D23&lt;F23,"Below minimum",IF($D23&gt;G23,"Above maximum","In range")),"")</f>
        <v/>
      </c>
      <c r="K23" s="16">
        <f>IFERROR(MAX(0,F23-$D23),"")</f>
        <v/>
      </c>
    </row>
    <row r="24">
      <c r="A24" s="24" t="inlineStr">
        <is>
          <t>E-1020</t>
        </is>
      </c>
      <c r="B24" s="25" t="n">
        <v>6</v>
      </c>
      <c r="C24" s="24" t="inlineStr">
        <is>
          <t>London</t>
        </is>
      </c>
      <c r="D24" s="26" t="n">
        <v>149700</v>
      </c>
      <c r="E24" s="16">
        <f>IFERROR(INDEX(Bands!$C$5:$C$12,MATCH($B24,Bands!$A$5:$A$12,0)),"")</f>
        <v/>
      </c>
      <c r="F24" s="16">
        <f>IFERROR(INDEX(Bands!$B$5:$B$12,MATCH($B24,Bands!$A$5:$A$12,0)),"")</f>
        <v/>
      </c>
      <c r="G24" s="16">
        <f>IFERROR(INDEX(Bands!$D$5:$D$12,MATCH($B24,Bands!$A$5:$A$12,0)),"")</f>
        <v/>
      </c>
      <c r="H24" s="27">
        <f>IFERROR($D24/E24,"")</f>
        <v/>
      </c>
      <c r="I24" s="18">
        <f>IFERROR(($D24-F24)/(G24-F24),"")</f>
        <v/>
      </c>
      <c r="J24" s="28">
        <f>IFERROR(IF($D24&lt;F24,"Below minimum",IF($D24&gt;G24,"Above maximum","In range")),"")</f>
        <v/>
      </c>
      <c r="K24" s="16">
        <f>IFERROR(MAX(0,F24-$D24),"")</f>
        <v/>
      </c>
    </row>
    <row r="25">
      <c r="A25" s="24" t="inlineStr">
        <is>
          <t>E-1021</t>
        </is>
      </c>
      <c r="B25" s="25" t="n">
        <v>2</v>
      </c>
      <c r="C25" s="24" t="inlineStr">
        <is>
          <t>Chicago</t>
        </is>
      </c>
      <c r="D25" s="26" t="n">
        <v>58100</v>
      </c>
      <c r="E25" s="16">
        <f>IFERROR(INDEX(Bands!$C$5:$C$12,MATCH($B25,Bands!$A$5:$A$12,0)),"")</f>
        <v/>
      </c>
      <c r="F25" s="16">
        <f>IFERROR(INDEX(Bands!$B$5:$B$12,MATCH($B25,Bands!$A$5:$A$12,0)),"")</f>
        <v/>
      </c>
      <c r="G25" s="16">
        <f>IFERROR(INDEX(Bands!$D$5:$D$12,MATCH($B25,Bands!$A$5:$A$12,0)),"")</f>
        <v/>
      </c>
      <c r="H25" s="27">
        <f>IFERROR($D25/E25,"")</f>
        <v/>
      </c>
      <c r="I25" s="18">
        <f>IFERROR(($D25-F25)/(G25-F25),"")</f>
        <v/>
      </c>
      <c r="J25" s="28">
        <f>IFERROR(IF($D25&lt;F25,"Below minimum",IF($D25&gt;G25,"Above maximum","In range")),"")</f>
        <v/>
      </c>
      <c r="K25" s="16">
        <f>IFERROR(MAX(0,F25-$D25),"")</f>
        <v/>
      </c>
    </row>
    <row r="26">
      <c r="A26" s="24" t="inlineStr">
        <is>
          <t>E-1022</t>
        </is>
      </c>
      <c r="B26" s="25" t="n">
        <v>3</v>
      </c>
      <c r="C26" s="24" t="inlineStr">
        <is>
          <t>Warsaw</t>
        </is>
      </c>
      <c r="D26" s="26" t="n">
        <v>59800</v>
      </c>
      <c r="E26" s="16">
        <f>IFERROR(INDEX(Bands!$C$5:$C$12,MATCH($B26,Bands!$A$5:$A$12,0)),"")</f>
        <v/>
      </c>
      <c r="F26" s="16">
        <f>IFERROR(INDEX(Bands!$B$5:$B$12,MATCH($B26,Bands!$A$5:$A$12,0)),"")</f>
        <v/>
      </c>
      <c r="G26" s="16">
        <f>IFERROR(INDEX(Bands!$D$5:$D$12,MATCH($B26,Bands!$A$5:$A$12,0)),"")</f>
        <v/>
      </c>
      <c r="H26" s="27">
        <f>IFERROR($D26/E26,"")</f>
        <v/>
      </c>
      <c r="I26" s="18">
        <f>IFERROR(($D26-F26)/(G26-F26),"")</f>
        <v/>
      </c>
      <c r="J26" s="28">
        <f>IFERROR(IF($D26&lt;F26,"Below minimum",IF($D26&gt;G26,"Above maximum","In range")),"")</f>
        <v/>
      </c>
      <c r="K26" s="16">
        <f>IFERROR(MAX(0,F26-$D26),"")</f>
        <v/>
      </c>
    </row>
    <row r="27">
      <c r="A27" s="24" t="inlineStr">
        <is>
          <t>E-1023</t>
        </is>
      </c>
      <c r="B27" s="25" t="n">
        <v>4</v>
      </c>
      <c r="C27" s="24" t="inlineStr">
        <is>
          <t>London</t>
        </is>
      </c>
      <c r="D27" s="26" t="n">
        <v>88900</v>
      </c>
      <c r="E27" s="16">
        <f>IFERROR(INDEX(Bands!$C$5:$C$12,MATCH($B27,Bands!$A$5:$A$12,0)),"")</f>
        <v/>
      </c>
      <c r="F27" s="16">
        <f>IFERROR(INDEX(Bands!$B$5:$B$12,MATCH($B27,Bands!$A$5:$A$12,0)),"")</f>
        <v/>
      </c>
      <c r="G27" s="16">
        <f>IFERROR(INDEX(Bands!$D$5:$D$12,MATCH($B27,Bands!$A$5:$A$12,0)),"")</f>
        <v/>
      </c>
      <c r="H27" s="27">
        <f>IFERROR($D27/E27,"")</f>
        <v/>
      </c>
      <c r="I27" s="18">
        <f>IFERROR(($D27-F27)/(G27-F27),"")</f>
        <v/>
      </c>
      <c r="J27" s="28">
        <f>IFERROR(IF($D27&lt;F27,"Below minimum",IF($D27&gt;G27,"Above maximum","In range")),"")</f>
        <v/>
      </c>
      <c r="K27" s="16">
        <f>IFERROR(MAX(0,F27-$D27),"")</f>
        <v/>
      </c>
    </row>
    <row r="28">
      <c r="A28" s="24" t="inlineStr">
        <is>
          <t>E-1024</t>
        </is>
      </c>
      <c r="B28" s="25" t="n">
        <v>5</v>
      </c>
      <c r="C28" s="24" t="inlineStr">
        <is>
          <t>Chicago</t>
        </is>
      </c>
      <c r="D28" s="26" t="n">
        <v>126400</v>
      </c>
      <c r="E28" s="16">
        <f>IFERROR(INDEX(Bands!$C$5:$C$12,MATCH($B28,Bands!$A$5:$A$12,0)),"")</f>
        <v/>
      </c>
      <c r="F28" s="16">
        <f>IFERROR(INDEX(Bands!$B$5:$B$12,MATCH($B28,Bands!$A$5:$A$12,0)),"")</f>
        <v/>
      </c>
      <c r="G28" s="16">
        <f>IFERROR(INDEX(Bands!$D$5:$D$12,MATCH($B28,Bands!$A$5:$A$12,0)),"")</f>
        <v/>
      </c>
      <c r="H28" s="27">
        <f>IFERROR($D28/E28,"")</f>
        <v/>
      </c>
      <c r="I28" s="18">
        <f>IFERROR(($D28-F28)/(G28-F28),"")</f>
        <v/>
      </c>
      <c r="J28" s="28">
        <f>IFERROR(IF($D28&lt;F28,"Below minimum",IF($D28&gt;G28,"Above maximum","In range")),"")</f>
        <v/>
      </c>
      <c r="K28" s="16">
        <f>IFERROR(MAX(0,F28-$D28),"")</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B2:D20"/>
  <sheetViews>
    <sheetView showGridLines="0" workbookViewId="0">
      <selection activeCell="A1" sqref="A1"/>
    </sheetView>
  </sheetViews>
  <sheetFormatPr baseColWidth="8" defaultRowHeight="15"/>
  <cols>
    <col width="3" customWidth="1" min="1" max="1"/>
    <col width="44" customWidth="1" min="2" max="2"/>
    <col width="18" customWidth="1" min="3" max="3"/>
    <col width="58" customWidth="1" min="4" max="4"/>
  </cols>
  <sheetData>
    <row r="2">
      <c r="B2" s="5" t="inlineStr">
        <is>
          <t>Summary</t>
        </is>
      </c>
    </row>
    <row r="3">
      <c r="B3" s="2" t="inlineStr">
        <is>
          <t>All of this recalculates the moment you change an input or a salary.</t>
        </is>
      </c>
    </row>
    <row r="5" ht="32" customHeight="1">
      <c r="B5" s="6" t="inlineStr">
        <is>
          <t>People in the model</t>
        </is>
      </c>
      <c r="C5" s="29">
        <f>COUNTA(People!A5:A400)</f>
        <v/>
      </c>
      <c r="D5" s="8" t="inlineStr"/>
    </row>
    <row r="6" ht="32" customHeight="1">
      <c r="B6" s="6" t="inlineStr">
        <is>
          <t>Total annual base payroll</t>
        </is>
      </c>
      <c r="C6" s="29">
        <f>SUM(People!D5:D400)</f>
        <v/>
      </c>
      <c r="D6" s="8" t="inlineStr"/>
    </row>
    <row r="7" ht="32" customHeight="1">
      <c r="B7" s="6" t="inlineStr">
        <is>
          <t>Average compa ratio</t>
        </is>
      </c>
      <c r="C7" s="30">
        <f>IFERROR(AVERAGE(People!H5:H400),"")</f>
        <v/>
      </c>
      <c r="D7" s="8" t="inlineStr">
        <is>
          <t>One means the average person sits exactly on their midpoint.</t>
        </is>
      </c>
    </row>
    <row r="8" ht="32" customHeight="1">
      <c r="B8" s="6" t="inlineStr">
        <is>
          <t>Sitting below their minimum</t>
        </is>
      </c>
      <c r="C8" s="29">
        <f>COUNTIF(People!J5:J400,"Below minimum")</f>
        <v/>
      </c>
      <c r="D8" s="8" t="inlineStr">
        <is>
          <t>These are the people a published pay range would expose first.</t>
        </is>
      </c>
    </row>
    <row r="9" ht="32" customHeight="1">
      <c r="B9" s="6" t="inlineStr">
        <is>
          <t>Sitting above their maximum</t>
        </is>
      </c>
      <c r="C9" s="29">
        <f>COUNTIF(People!J5:J400,"Above maximum")</f>
        <v/>
      </c>
      <c r="D9" s="8" t="inlineStr">
        <is>
          <t>Not a mistake on its own, but each one needs a reason you would say out loud.</t>
        </is>
      </c>
    </row>
    <row r="10" ht="32" customHeight="1">
      <c r="B10" s="6" t="inlineStr">
        <is>
          <t>Cost to bring everyone to minimum</t>
        </is>
      </c>
      <c r="C10" s="29">
        <f>SUM(People!K5:K400)</f>
        <v/>
      </c>
      <c r="D10" s="8" t="inlineStr">
        <is>
          <t>Base pay only.</t>
        </is>
      </c>
    </row>
    <row r="11" ht="32" customHeight="1">
      <c r="B11" s="6" t="inlineStr">
        <is>
          <t>The same cost, fully loaded</t>
        </is>
      </c>
      <c r="C11" s="31">
        <f>SUM(People!K5:K400)*(1+Inputs!$C$8)</f>
        <v/>
      </c>
      <c r="D11" s="8" t="inlineStr">
        <is>
          <t>With employer taxes, benefits and bonus flow through. This is the number leadership reacts to.</t>
        </is>
      </c>
    </row>
    <row r="12" ht="32" customHeight="1">
      <c r="B12" s="6" t="inlineStr">
        <is>
          <t>As a share of annual base payroll</t>
        </is>
      </c>
      <c r="C12" s="32">
        <f>IFERROR(SUM(People!K5:K400)*(1+Inputs!$C$8)/SUM(People!D5:D400),"")</f>
        <v/>
      </c>
      <c r="D12" s="8" t="inlineStr">
        <is>
          <t>Almost always smaller than people fear, and almost always smaller than replacing the people it protects.</t>
        </is>
      </c>
    </row>
    <row r="15">
      <c r="B15" s="3" t="inlineStr">
        <is>
          <t>What this does not tell you</t>
        </is>
      </c>
    </row>
    <row r="16">
      <c r="B16" s="4" t="inlineStr">
        <is>
          <t>Nothing here is a pay equity test. Two people can both sit inside their range and still be paid unfairly relative to one another. That is a different piece of work and this file does not attempt it.</t>
        </is>
      </c>
    </row>
    <row r="17"/>
    <row r="18"/>
    <row r="20">
      <c r="B20" s="2" t="inlineStr">
        <is>
          <t>Quantum Reward  ·  hello@quantumreward.com  ·  v1.0  ·  built 2 August 2026</t>
        </is>
      </c>
    </row>
  </sheetData>
  <mergeCells count="1">
    <mergeCell ref="B16:D1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2026-08-02T17:25:17Z</dcterms:created>
  <dcterms:modified xsi:type="dcterms:W3CDTF">2026-08-02T17:25:17Z</dcterms:modified>
</cp:coreProperties>
</file>